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20775" windowHeight="9405"/>
  </bookViews>
  <sheets>
    <sheet name="Załącznik 2" sheetId="1" r:id="rId1"/>
  </sheets>
  <definedNames>
    <definedName name="_xlnm.Print_Titles" localSheetId="0">'Załącznik 2'!$B:$C,'Załącznik 2'!$4:$4</definedName>
  </definedNames>
  <calcPr calcId="145621"/>
</workbook>
</file>

<file path=xl/calcChain.xml><?xml version="1.0" encoding="utf-8"?>
<calcChain xmlns="http://schemas.openxmlformats.org/spreadsheetml/2006/main">
  <c r="N18" i="1" l="1"/>
  <c r="M18" i="1"/>
  <c r="L18" i="1"/>
  <c r="L7" i="1" s="1"/>
  <c r="K18" i="1"/>
  <c r="J18" i="1"/>
  <c r="I18" i="1"/>
  <c r="H18" i="1"/>
  <c r="G18" i="1"/>
  <c r="N17" i="1"/>
  <c r="M17" i="1"/>
  <c r="L17" i="1"/>
  <c r="K17" i="1"/>
  <c r="J17" i="1"/>
  <c r="I17" i="1"/>
  <c r="H17" i="1"/>
  <c r="G17" i="1"/>
  <c r="N16" i="1"/>
  <c r="M16" i="1"/>
  <c r="K16" i="1"/>
  <c r="J16" i="1"/>
  <c r="I16" i="1"/>
  <c r="H16" i="1"/>
  <c r="G16" i="1"/>
  <c r="N15" i="1"/>
  <c r="M15" i="1"/>
  <c r="L15" i="1"/>
  <c r="K15" i="1"/>
  <c r="J15" i="1"/>
  <c r="I15" i="1"/>
  <c r="H15" i="1"/>
  <c r="G15" i="1"/>
  <c r="N14" i="1"/>
  <c r="M14" i="1"/>
  <c r="L14" i="1"/>
  <c r="K14" i="1"/>
  <c r="J14" i="1"/>
  <c r="I14" i="1"/>
  <c r="H14" i="1"/>
  <c r="G14" i="1"/>
  <c r="N13" i="1"/>
  <c r="M13" i="1"/>
  <c r="L13" i="1"/>
  <c r="K13" i="1"/>
  <c r="J13" i="1"/>
  <c r="I13" i="1"/>
  <c r="H13" i="1"/>
  <c r="G13" i="1"/>
  <c r="N12" i="1"/>
  <c r="M12" i="1"/>
  <c r="L12" i="1"/>
  <c r="K12" i="1"/>
  <c r="J12" i="1"/>
  <c r="I12" i="1"/>
  <c r="H12" i="1"/>
  <c r="G12" i="1"/>
  <c r="N9" i="1"/>
  <c r="M9" i="1"/>
  <c r="L9" i="1"/>
  <c r="K9" i="1"/>
  <c r="J9" i="1"/>
  <c r="I9" i="1"/>
  <c r="H9" i="1"/>
  <c r="G9" i="1"/>
  <c r="N8" i="1"/>
  <c r="M8" i="1"/>
  <c r="L8" i="1"/>
  <c r="K8" i="1"/>
  <c r="J8" i="1"/>
  <c r="I8" i="1"/>
  <c r="H8" i="1"/>
  <c r="G8" i="1"/>
  <c r="N7" i="1"/>
  <c r="M7" i="1"/>
  <c r="K7" i="1"/>
  <c r="J7" i="1"/>
  <c r="I7" i="1"/>
  <c r="H7" i="1"/>
  <c r="G7" i="1"/>
  <c r="N6" i="1"/>
  <c r="M6" i="1"/>
  <c r="L6" i="1"/>
  <c r="K6" i="1"/>
  <c r="J6" i="1"/>
  <c r="I6" i="1"/>
  <c r="H6" i="1"/>
  <c r="G6" i="1"/>
  <c r="N5" i="1"/>
  <c r="M5" i="1"/>
  <c r="K5" i="1"/>
  <c r="J5" i="1"/>
  <c r="I5" i="1"/>
  <c r="H5" i="1"/>
  <c r="G5" i="1"/>
  <c r="L16" i="1" l="1"/>
  <c r="L5" i="1" s="1"/>
</calcChain>
</file>

<file path=xl/sharedStrings.xml><?xml version="1.0" encoding="utf-8"?>
<sst xmlns="http://schemas.openxmlformats.org/spreadsheetml/2006/main" count="53" uniqueCount="44">
  <si>
    <t>Lp.</t>
  </si>
  <si>
    <t>Nazwa i cel</t>
  </si>
  <si>
    <t>Jednostka</t>
  </si>
  <si>
    <t>Od</t>
  </si>
  <si>
    <t>Do</t>
  </si>
  <si>
    <t>Nakłady</t>
  </si>
  <si>
    <t>2021</t>
  </si>
  <si>
    <t>2022</t>
  </si>
  <si>
    <t>2023</t>
  </si>
  <si>
    <t>2024</t>
  </si>
  <si>
    <t>2025</t>
  </si>
  <si>
    <t>2026</t>
  </si>
  <si>
    <t>Limit zobowiązań</t>
  </si>
  <si>
    <t>1</t>
  </si>
  <si>
    <t>Przedsięwzięcia razem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</si>
  <si>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</si>
  <si>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</si>
  <si>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</si>
  <si>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</si>
  <si>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</si>
  <si>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późn.zm.):</t>
  </si>
  <si>
    <t>1.1.1</t>
  </si>
  <si>
    <t>1.1.1.1</t>
  </si>
  <si>
    <t xml:space="preserve">"Erasmus+" - Wkład w realizację założeń strategii "Europa 2020", zmniejszenie bezrobocia, wspieranie edukacji dorosłych, </t>
  </si>
  <si>
    <t>Szkoła Podstawowa Nr 1 w Szprotawie</t>
  </si>
  <si>
    <t>1.1.1.2</t>
  </si>
  <si>
    <t>Integracja mieszkańców poprzez Transgraniczną Polsko-Niemiecką Edukację Ekologiczną w Szprotawie i Sprembergu - Współpraca mieszkańców miast partnerskich</t>
  </si>
  <si>
    <t>Urząd Miejski</t>
  </si>
  <si>
    <t>1.1.2</t>
  </si>
  <si>
    <t>1.2</t>
  </si>
  <si>
    <t>Wydatki na programy, projekty lub zadania związane z umowami partnerstwa publiczno-prywatnego:</t>
  </si>
  <si>
    <t>1.2.1</t>
  </si>
  <si>
    <t>1.2.2</t>
  </si>
  <si>
    <t>1.3</t>
  </si>
  <si>
    <t>Wydatki na programy, projekty lub zadania pozostałe (inne niż wymienione w pkt 1.1 i 1.2):</t>
  </si>
  <si>
    <t>1.3.1</t>
  </si>
  <si>
    <t>1.3.2</t>
  </si>
  <si>
    <t>1.3.2.1</t>
  </si>
  <si>
    <t>Wymiana niskowydajnych i nieekologicznych kotłów na paliwa stałe, na nowoczesne i ekologiczne kotły gazowe w budynkach mieszkalnych na terenie gminy Szprotawa - Poprawa jakości życia mieszkańńców oraz powietrza</t>
  </si>
  <si>
    <t>1.3.2.2</t>
  </si>
  <si>
    <t>Rozbudowa drogi gminnej Nr 103573F w Szprotawie - Poprawa jakości drogi oraz lepszy komfort jazdy mieszkańców</t>
  </si>
  <si>
    <t>1.3.2.3</t>
  </si>
  <si>
    <t>Rozbudowa dróg gminnych Nr 005947F, Nr 005943F i Nr 005935F w Wiechlicach - Poprawa jajkości jazdy mieszkańców</t>
  </si>
  <si>
    <t>Wieloletnie przedsięwzięcia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</si>
</sst>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b/>
      <sz val="1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/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/>
  </cellXfs>
  <cellStyles count="1">
    <cellStyle name="Normalny" xfId="0" builtinId="0"/>
  </cellStyles>
  <dxfs count="12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tabSelected="1" zoomScaleNormal="100" workbookViewId="0">
      <pane xSplit="3" ySplit="4" topLeftCell="D5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RowHeight="15" x14ac:dyDescent="0.25"/>
  <cols>
    <col min="1" max="1" width="8.42578125" customWidth="1"/>
    <col min="2" max="2" width="7.140625" customWidth="1"/>
    <col min="3" max="3" width="42.85546875" customWidth="1"/>
    <col min="4" max="4" width="14.28515625" customWidth="1"/>
    <col min="5" max="6" width="11.42578125" customWidth="1"/>
    <col min="7" max="14" width="14.28515625" customWidth="1"/>
  </cols>
  <sheetData>
    <row r="2" spans="2:14" ht="17.25" x14ac:dyDescent="0.3">
      <c r="B2" s="12" t="s">
        <v>43</v>
      </c>
      <c r="C2" s="12"/>
      <c r="D2" s="12"/>
      <c r="E2" s="12"/>
      <c r="F2" s="12"/>
      <c r="G2" s="12"/>
      <c r="H2" s="12"/>
    </row>
    <row r="4" spans="2:14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</row>
    <row r="5" spans="2:14" ht="14.25" customHeight="1" x14ac:dyDescent="0.25">
      <c r="B5" s="2" t="s">
        <v>13</v>
      </c>
      <c r="C5" s="3" t="s">
        <v>14</v>
      </c>
      <c r="D5" s="3"/>
      <c r="E5" s="5"/>
      <c r="F5" s="5"/>
      <c r="G5" s="4">
        <f>IF(ISNUMBER(VLOOKUP("1.1",B5:N22,6,FALSE)),ROUND(VLOOKUP("1.1",B5:N22,6,FALSE),4),0) + IF(ISNUMBER(VLOOKUP("1.2",B5:N22,6,FALSE)),ROUND(VLOOKUP("1.2",B5:N22,6,FALSE),4),0) + IF(ISNUMBER(VLOOKUP("1.3",B5:N22,6,FALSE)),ROUND(VLOOKUP("1.3",B5:N22,6,FALSE),4),0)</f>
        <v>40668270.460000001</v>
      </c>
      <c r="H5" s="4">
        <f>IF(ISNUMBER(VLOOKUP("1.1",B5:N22,7,FALSE)),ROUND(VLOOKUP("1.1",B5:N22,7,FALSE),4),0) + IF(ISNUMBER(VLOOKUP("1.2",B5:N22,7,FALSE)),ROUND(VLOOKUP("1.2",B5:N22,7,FALSE),4),0) + IF(ISNUMBER(VLOOKUP("1.3",B5:N22,7,FALSE)),ROUND(VLOOKUP("1.3",B5:N22,7,FALSE),4),0)</f>
        <v>7604638.7599999998</v>
      </c>
      <c r="I5" s="4">
        <f>IF(ISNUMBER(VLOOKUP("1.1",B5:N22,8,FALSE)),ROUND(VLOOKUP("1.1",B5:N22,8,FALSE),4),0) + IF(ISNUMBER(VLOOKUP("1.2",B5:N22,8,FALSE)),ROUND(VLOOKUP("1.2",B5:N22,8,FALSE),4),0) + IF(ISNUMBER(VLOOKUP("1.3",B5:N22,8,FALSE)),ROUND(VLOOKUP("1.3",B5:N22,8,FALSE),4),0)</f>
        <v>13184641.390000001</v>
      </c>
      <c r="J5" s="4">
        <f>IF(ISNUMBER(VLOOKUP("1.1",B5:N22,9,FALSE)),ROUND(VLOOKUP("1.1",B5:N22,9,FALSE),4),0) + IF(ISNUMBER(VLOOKUP("1.2",B5:N22,9,FALSE)),ROUND(VLOOKUP("1.2",B5:N22,9,FALSE),4),0) + IF(ISNUMBER(VLOOKUP("1.3",B5:N22,9,FALSE)),ROUND(VLOOKUP("1.3",B5:N22,9,FALSE),4),0)</f>
        <v>3714167.68</v>
      </c>
      <c r="K5" s="4">
        <f>IF(ISNUMBER(VLOOKUP("1.1",B5:N22,10,FALSE)),ROUND(VLOOKUP("1.1",B5:N22,10,FALSE),4),0) + IF(ISNUMBER(VLOOKUP("1.2",B5:N22,10,FALSE)),ROUND(VLOOKUP("1.2",B5:N22,10,FALSE),4),0) + IF(ISNUMBER(VLOOKUP("1.3",B5:N22,10,FALSE)),ROUND(VLOOKUP("1.3",B5:N22,10,FALSE),4),0)</f>
        <v>7419704.0700000003</v>
      </c>
      <c r="L5" s="4">
        <f>IF(ISNUMBER(VLOOKUP("1.1",B5:N22,11,FALSE)),ROUND(VLOOKUP("1.1",B5:N22,11,FALSE),4),0) + IF(ISNUMBER(VLOOKUP("1.2",B5:N22,11,FALSE)),ROUND(VLOOKUP("1.2",B5:N22,11,FALSE),4),0) + IF(ISNUMBER(VLOOKUP("1.3",B5:N22,11,FALSE)),ROUND(VLOOKUP("1.3",B5:N22,11,FALSE),4),0)</f>
        <v>3418849.46</v>
      </c>
      <c r="M5" s="4">
        <f>IF(ISNUMBER(VLOOKUP("1.1",B5:N22,12,FALSE)),ROUND(VLOOKUP("1.1",B5:N22,12,FALSE),4),0) + IF(ISNUMBER(VLOOKUP("1.2",B5:N22,12,FALSE)),ROUND(VLOOKUP("1.2",B5:N22,12,FALSE),4),0) + IF(ISNUMBER(VLOOKUP("1.3",B5:N22,12,FALSE)),ROUND(VLOOKUP("1.3",B5:N22,12,FALSE),4),0)</f>
        <v>4498132.3</v>
      </c>
      <c r="N5" s="4">
        <f>IF(ISNUMBER(VLOOKUP("1.1",B5:N22,13,FALSE)),ROUND(VLOOKUP("1.1",B5:N22,13,FALSE),4),0) + IF(ISNUMBER(VLOOKUP("1.2",B5:N22,13,FALSE)),ROUND(VLOOKUP("1.2",B5:N22,13,FALSE),4),0) + IF(ISNUMBER(VLOOKUP("1.3",B5:N22,13,FALSE)),ROUND(VLOOKUP("1.3",B5:N22,13,FALSE),4),0)</f>
        <v>39840133.659999996</v>
      </c>
    </row>
    <row r="6" spans="2:14" ht="14.25" customHeight="1" x14ac:dyDescent="0.25">
      <c r="B6" s="2" t="s">
        <v>15</v>
      </c>
      <c r="C6" s="3" t="s">
        <v>16</v>
      </c>
      <c r="D6" s="3"/>
      <c r="E6" s="5"/>
      <c r="F6" s="5"/>
      <c r="G6" s="4">
        <f>IF(ISNUMBER(VLOOKUP("1.1.1",B5:N22,6,FALSE)),ROUND(VLOOKUP("1.1.1",B5:N22,6,FALSE),4),0) + IF(ISNUMBER(VLOOKUP("1.2.1",B5:N22,6,FALSE)),ROUND(VLOOKUP("1.2.1",B5:N22,6,FALSE),4),0) + IF(ISNUMBER(VLOOKUP("1.3.1",B5:N22,6,FALSE)),ROUND(VLOOKUP("1.3.1",B5:N22,6,FALSE),4),0)</f>
        <v>896906</v>
      </c>
      <c r="H6" s="4">
        <f>IF(ISNUMBER(VLOOKUP("1.1.1",B5:N22,7,FALSE)),ROUND(VLOOKUP("1.1.1",B5:N22,7,FALSE),4),0) + IF(ISNUMBER(VLOOKUP("1.2.1",B5:N22,7,FALSE)),ROUND(VLOOKUP("1.2.1",B5:N22,7,FALSE),4),0) + IF(ISNUMBER(VLOOKUP("1.3.1",B5:N22,7,FALSE)),ROUND(VLOOKUP("1.3.1",B5:N22,7,FALSE),4),0)</f>
        <v>153729</v>
      </c>
      <c r="I6" s="4">
        <f>IF(ISNUMBER(VLOOKUP("1.1.1",B5:N22,8,FALSE)),ROUND(VLOOKUP("1.1.1",B5:N22,8,FALSE),4),0) + IF(ISNUMBER(VLOOKUP("1.2.1",B5:N22,8,FALSE)),ROUND(VLOOKUP("1.2.1",B5:N22,8,FALSE),4),0) + IF(ISNUMBER(VLOOKUP("1.3.1",B5:N22,8,FALSE)),ROUND(VLOOKUP("1.3.1",B5:N22,8,FALSE),4),0)</f>
        <v>132169</v>
      </c>
      <c r="J6" s="4">
        <f>IF(ISNUMBER(VLOOKUP("1.1.1",B5:N22,9,FALSE)),ROUND(VLOOKUP("1.1.1",B5:N22,9,FALSE),4),0) + IF(ISNUMBER(VLOOKUP("1.2.1",B5:N22,9,FALSE)),ROUND(VLOOKUP("1.2.1",B5:N22,9,FALSE),4),0) + IF(ISNUMBER(VLOOKUP("1.3.1",B5:N22,9,FALSE)),ROUND(VLOOKUP("1.3.1",B5:N22,9,FALSE),4),0)</f>
        <v>0</v>
      </c>
      <c r="K6" s="4">
        <f>IF(ISNUMBER(VLOOKUP("1.1.1",B5:N22,10,FALSE)),ROUND(VLOOKUP("1.1.1",B5:N22,10,FALSE),4),0) + IF(ISNUMBER(VLOOKUP("1.2.1",B5:N22,10,FALSE)),ROUND(VLOOKUP("1.2.1",B5:N22,10,FALSE),4),0) + IF(ISNUMBER(VLOOKUP("1.3.1",B5:N22,10,FALSE)),ROUND(VLOOKUP("1.3.1",B5:N22,10,FALSE),4),0)</f>
        <v>0</v>
      </c>
      <c r="L6" s="4">
        <f>IF(ISNUMBER(VLOOKUP("1.1.1",B5:N22,11,FALSE)),ROUND(VLOOKUP("1.1.1",B5:N22,11,FALSE),4),0) + IF(ISNUMBER(VLOOKUP("1.2.1",B5:N22,11,FALSE)),ROUND(VLOOKUP("1.2.1",B5:N22,11,FALSE),4),0) + IF(ISNUMBER(VLOOKUP("1.3.1",B5:N22,11,FALSE)),ROUND(VLOOKUP("1.3.1",B5:N22,11,FALSE),4),0)</f>
        <v>0</v>
      </c>
      <c r="M6" s="4">
        <f>IF(ISNUMBER(VLOOKUP("1.1.1",B5:N22,12,FALSE)),ROUND(VLOOKUP("1.1.1",B5:N22,12,FALSE),4),0) + IF(ISNUMBER(VLOOKUP("1.2.1",B5:N22,12,FALSE)),ROUND(VLOOKUP("1.2.1",B5:N22,12,FALSE),4),0) + IF(ISNUMBER(VLOOKUP("1.3.1",B5:N22,12,FALSE)),ROUND(VLOOKUP("1.3.1",B5:N22,12,FALSE),4),0)</f>
        <v>0</v>
      </c>
      <c r="N6" s="4">
        <f>IF(ISNUMBER(VLOOKUP("1.1.1",B5:N22,13,FALSE)),ROUND(VLOOKUP("1.1.1",B5:N22,13,FALSE),4),0) + IF(ISNUMBER(VLOOKUP("1.2.1",B5:N22,13,FALSE)),ROUND(VLOOKUP("1.2.1",B5:N22,13,FALSE),4),0) + IF(ISNUMBER(VLOOKUP("1.3.1",B5:N22,13,FALSE)),ROUND(VLOOKUP("1.3.1",B5:N22,13,FALSE),4),0)</f>
        <v>285898</v>
      </c>
    </row>
    <row r="7" spans="2:14" ht="14.25" customHeight="1" x14ac:dyDescent="0.25">
      <c r="B7" s="2" t="s">
        <v>17</v>
      </c>
      <c r="C7" s="3" t="s">
        <v>18</v>
      </c>
      <c r="D7" s="3"/>
      <c r="E7" s="5"/>
      <c r="F7" s="5"/>
      <c r="G7" s="4">
        <f>IF(ISNUMBER(VLOOKUP("1.1.2",B5:N22,6,FALSE)),ROUND(VLOOKUP("1.1.2",B5:N22,6,FALSE),4),0) + IF(ISNUMBER(VLOOKUP("1.2.2",B5:N22,6,FALSE)),ROUND(VLOOKUP("1.2.2",B5:N22,6,FALSE),4),0) + IF(ISNUMBER(VLOOKUP("1.3.2",B5:N22,6,FALSE)),ROUND(VLOOKUP("1.3.2",B5:N22,6,FALSE),4),0)</f>
        <v>39771364.460000001</v>
      </c>
      <c r="H7" s="4">
        <f>IF(ISNUMBER(VLOOKUP("1.1.2",B5:N22,7,FALSE)),ROUND(VLOOKUP("1.1.2",B5:N22,7,FALSE),4),0) + IF(ISNUMBER(VLOOKUP("1.2.2",B5:N22,7,FALSE)),ROUND(VLOOKUP("1.2.2",B5:N22,7,FALSE),4),0) + IF(ISNUMBER(VLOOKUP("1.3.2",B5:N22,7,FALSE)),ROUND(VLOOKUP("1.3.2",B5:N22,7,FALSE),4),0)</f>
        <v>7450909.7599999998</v>
      </c>
      <c r="I7" s="4">
        <f>IF(ISNUMBER(VLOOKUP("1.1.2",B5:N22,8,FALSE)),ROUND(VLOOKUP("1.1.2",B5:N22,8,FALSE),4),0) + IF(ISNUMBER(VLOOKUP("1.2.2",B5:N22,8,FALSE)),ROUND(VLOOKUP("1.2.2",B5:N22,8,FALSE),4),0) + IF(ISNUMBER(VLOOKUP("1.3.2",B5:N22,8,FALSE)),ROUND(VLOOKUP("1.3.2",B5:N22,8,FALSE),4),0)</f>
        <v>13052472.390000001</v>
      </c>
      <c r="J7" s="4">
        <f>IF(ISNUMBER(VLOOKUP("1.1.2",B5:N22,9,FALSE)),ROUND(VLOOKUP("1.1.2",B5:N22,9,FALSE),4),0) + IF(ISNUMBER(VLOOKUP("1.2.2",B5:N22,9,FALSE)),ROUND(VLOOKUP("1.2.2",B5:N22,9,FALSE),4),0) + IF(ISNUMBER(VLOOKUP("1.3.2",B5:N22,9,FALSE)),ROUND(VLOOKUP("1.3.2",B5:N22,9,FALSE),4),0)</f>
        <v>3714167.68</v>
      </c>
      <c r="K7" s="4">
        <f>IF(ISNUMBER(VLOOKUP("1.1.2",B5:N22,10,FALSE)),ROUND(VLOOKUP("1.1.2",B5:N22,10,FALSE),4),0) + IF(ISNUMBER(VLOOKUP("1.2.2",B5:N22,10,FALSE)),ROUND(VLOOKUP("1.2.2",B5:N22,10,FALSE),4),0) + IF(ISNUMBER(VLOOKUP("1.3.2",B5:N22,10,FALSE)),ROUND(VLOOKUP("1.3.2",B5:N22,10,FALSE),4),0)</f>
        <v>7419704.0700000003</v>
      </c>
      <c r="L7" s="4">
        <f>IF(ISNUMBER(VLOOKUP("1.1.2",B5:N22,11,FALSE)),ROUND(VLOOKUP("1.1.2",B5:N22,11,FALSE),4),0) + IF(ISNUMBER(VLOOKUP("1.2.2",B5:N22,11,FALSE)),ROUND(VLOOKUP("1.2.2",B5:N22,11,FALSE),4),0) + IF(ISNUMBER(VLOOKUP("1.3.2",B5:N22,11,FALSE)),ROUND(VLOOKUP("1.3.2",B5:N22,11,FALSE),4),0)</f>
        <v>3418849.46</v>
      </c>
      <c r="M7" s="4">
        <f>IF(ISNUMBER(VLOOKUP("1.1.2",B5:N22,12,FALSE)),ROUND(VLOOKUP("1.1.2",B5:N22,12,FALSE),4),0) + IF(ISNUMBER(VLOOKUP("1.2.2",B5:N22,12,FALSE)),ROUND(VLOOKUP("1.2.2",B5:N22,12,FALSE),4),0) + IF(ISNUMBER(VLOOKUP("1.3.2",B5:N22,12,FALSE)),ROUND(VLOOKUP("1.3.2",B5:N22,12,FALSE),4),0)</f>
        <v>4498132.3</v>
      </c>
      <c r="N7" s="4">
        <f>IF(ISNUMBER(VLOOKUP("1.1.2",B5:N22,13,FALSE)),ROUND(VLOOKUP("1.1.2",B5:N22,13,FALSE),4),0) + IF(ISNUMBER(VLOOKUP("1.2.2",B5:N22,13,FALSE)),ROUND(VLOOKUP("1.2.2",B5:N22,13,FALSE),4),0) + IF(ISNUMBER(VLOOKUP("1.3.2",B5:N22,13,FALSE)),ROUND(VLOOKUP("1.3.2",B5:N22,13,FALSE),4),0)</f>
        <v>39554235.659999996</v>
      </c>
    </row>
    <row r="8" spans="2:14" ht="65.650000000000006" customHeight="1" x14ac:dyDescent="0.25">
      <c r="B8" s="2" t="s">
        <v>19</v>
      </c>
      <c r="C8" s="3" t="s">
        <v>20</v>
      </c>
      <c r="D8" s="3"/>
      <c r="E8" s="5"/>
      <c r="F8" s="5"/>
      <c r="G8" s="4">
        <f>IF(ISNUMBER(VLOOKUP("1.1.1",B5:N22,6,FALSE)),ROUND(VLOOKUP("1.1.1",B5:N22,6,FALSE),4),0) + IF(ISNUMBER(VLOOKUP("1.1.2",B5:N22,6,FALSE)),ROUND(VLOOKUP("1.1.2",B5:N22,6,FALSE),4),0)</f>
        <v>896906</v>
      </c>
      <c r="H8" s="4">
        <f>IF(ISNUMBER(VLOOKUP("1.1.1",B5:N22,7,FALSE)),ROUND(VLOOKUP("1.1.1",B5:N22,7,FALSE),4),0) + IF(ISNUMBER(VLOOKUP("1.1.2",B5:N22,7,FALSE)),ROUND(VLOOKUP("1.1.2",B5:N22,7,FALSE),4),0)</f>
        <v>153729</v>
      </c>
      <c r="I8" s="4">
        <f>IF(ISNUMBER(VLOOKUP("1.1.1",B5:N22,8,FALSE)),ROUND(VLOOKUP("1.1.1",B5:N22,8,FALSE),4),0) + IF(ISNUMBER(VLOOKUP("1.1.2",B5:N22,8,FALSE)),ROUND(VLOOKUP("1.1.2",B5:N22,8,FALSE),4),0)</f>
        <v>132169</v>
      </c>
      <c r="J8" s="4">
        <f>IF(ISNUMBER(VLOOKUP("1.1.1",B5:N22,9,FALSE)),ROUND(VLOOKUP("1.1.1",B5:N22,9,FALSE),4),0) + IF(ISNUMBER(VLOOKUP("1.1.2",B5:N22,9,FALSE)),ROUND(VLOOKUP("1.1.2",B5:N22,9,FALSE),4),0)</f>
        <v>0</v>
      </c>
      <c r="K8" s="4">
        <f>IF(ISNUMBER(VLOOKUP("1.1.1",B5:N22,10,FALSE)),ROUND(VLOOKUP("1.1.1",B5:N22,10,FALSE),4),0) + IF(ISNUMBER(VLOOKUP("1.1.2",B5:N22,10,FALSE)),ROUND(VLOOKUP("1.1.2",B5:N22,10,FALSE),4),0)</f>
        <v>0</v>
      </c>
      <c r="L8" s="4">
        <f>IF(ISNUMBER(VLOOKUP("1.1.1",B5:N22,11,FALSE)),ROUND(VLOOKUP("1.1.1",B5:N22,11,FALSE),4),0) + IF(ISNUMBER(VLOOKUP("1.1.2",B5:N22,11,FALSE)),ROUND(VLOOKUP("1.1.2",B5:N22,11,FALSE),4),0)</f>
        <v>0</v>
      </c>
      <c r="M8" s="4">
        <f>IF(ISNUMBER(VLOOKUP("1.1.1",B5:N22,12,FALSE)),ROUND(VLOOKUP("1.1.1",B5:N22,12,FALSE),4),0) + IF(ISNUMBER(VLOOKUP("1.1.2",B5:N22,12,FALSE)),ROUND(VLOOKUP("1.1.2",B5:N22,12,FALSE),4),0)</f>
        <v>0</v>
      </c>
      <c r="N8" s="4">
        <f>IF(ISNUMBER(VLOOKUP("1.1.1",B5:N22,13,FALSE)),ROUND(VLOOKUP("1.1.1",B5:N22,13,FALSE),4),0) + IF(ISNUMBER(VLOOKUP("1.1.2",B5:N22,13,FALSE)),ROUND(VLOOKUP("1.1.2",B5:N22,13,FALSE),4),0)</f>
        <v>285898</v>
      </c>
    </row>
    <row r="9" spans="2:14" ht="14.25" customHeight="1" x14ac:dyDescent="0.25">
      <c r="B9" s="2" t="s">
        <v>21</v>
      </c>
      <c r="C9" s="3" t="s">
        <v>16</v>
      </c>
      <c r="D9" s="3"/>
      <c r="E9" s="5"/>
      <c r="F9" s="5"/>
      <c r="G9" s="4">
        <f>SUMIF(B10:B22, "1.1.1.*", G10:G22)</f>
        <v>896906</v>
      </c>
      <c r="H9" s="4">
        <f>SUMIF(B10:B22, "1.1.1.*", H10:H22)</f>
        <v>153729</v>
      </c>
      <c r="I9" s="4">
        <f>SUMIF(B10:B22, "1.1.1.*", I10:I22)</f>
        <v>132169</v>
      </c>
      <c r="J9" s="4">
        <f>SUMIF(B10:B22, "1.1.1.*", J10:J22)</f>
        <v>0</v>
      </c>
      <c r="K9" s="4">
        <f>SUMIF(B10:B22, "1.1.1.*", K10:K22)</f>
        <v>0</v>
      </c>
      <c r="L9" s="4">
        <f>SUMIF(B10:B22, "1.1.1.*", L10:L22)</f>
        <v>0</v>
      </c>
      <c r="M9" s="4">
        <f>SUMIF(B10:B22, "1.1.1.*", M10:M22)</f>
        <v>0</v>
      </c>
      <c r="N9" s="4">
        <f>SUMIF(B10:B22, "1.1.1.*", N10:N22)</f>
        <v>285898</v>
      </c>
    </row>
    <row r="10" spans="2:14" ht="39.950000000000003" customHeight="1" x14ac:dyDescent="0.25">
      <c r="B10" s="6" t="s">
        <v>22</v>
      </c>
      <c r="C10" s="7" t="s">
        <v>23</v>
      </c>
      <c r="D10" s="8" t="s">
        <v>24</v>
      </c>
      <c r="E10" s="10">
        <v>2019</v>
      </c>
      <c r="F10" s="10">
        <v>2021</v>
      </c>
      <c r="G10" s="9">
        <v>177560</v>
      </c>
      <c r="H10" s="9">
        <v>21560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9">
        <v>21560</v>
      </c>
    </row>
    <row r="11" spans="2:14" ht="39.950000000000003" customHeight="1" x14ac:dyDescent="0.25">
      <c r="B11" s="6" t="s">
        <v>25</v>
      </c>
      <c r="C11" s="7" t="s">
        <v>26</v>
      </c>
      <c r="D11" s="8" t="s">
        <v>27</v>
      </c>
      <c r="E11" s="10">
        <v>2019</v>
      </c>
      <c r="F11" s="10">
        <v>2022</v>
      </c>
      <c r="G11" s="9">
        <v>719346</v>
      </c>
      <c r="H11" s="9">
        <v>132169</v>
      </c>
      <c r="I11" s="9">
        <v>132169</v>
      </c>
      <c r="J11" s="11">
        <v>0</v>
      </c>
      <c r="K11" s="11">
        <v>0</v>
      </c>
      <c r="L11" s="11">
        <v>0</v>
      </c>
      <c r="M11" s="11">
        <v>0</v>
      </c>
      <c r="N11" s="9">
        <v>264338</v>
      </c>
    </row>
    <row r="12" spans="2:14" ht="14.25" customHeight="1" x14ac:dyDescent="0.25">
      <c r="B12" s="2" t="s">
        <v>28</v>
      </c>
      <c r="C12" s="3" t="s">
        <v>18</v>
      </c>
      <c r="D12" s="3"/>
      <c r="E12" s="5"/>
      <c r="F12" s="5"/>
      <c r="G12" s="4">
        <f>SUMIF(B13:B22, "1.1.2.*", G13:G22)</f>
        <v>0</v>
      </c>
      <c r="H12" s="4">
        <f>SUMIF(B13:B22, "1.1.2.*", H13:H22)</f>
        <v>0</v>
      </c>
      <c r="I12" s="4">
        <f>SUMIF(B13:B22, "1.1.2.*", I13:I22)</f>
        <v>0</v>
      </c>
      <c r="J12" s="4">
        <f>SUMIF(B13:B22, "1.1.2.*", J13:J22)</f>
        <v>0</v>
      </c>
      <c r="K12" s="4">
        <f>SUMIF(B13:B22, "1.1.2.*", K13:K22)</f>
        <v>0</v>
      </c>
      <c r="L12" s="4">
        <f>SUMIF(B13:B22, "1.1.2.*", L13:L22)</f>
        <v>0</v>
      </c>
      <c r="M12" s="4">
        <f>SUMIF(B13:B22, "1.1.2.*", M13:M22)</f>
        <v>0</v>
      </c>
      <c r="N12" s="4">
        <f>SUMIF(B13:B22, "1.1.2.*", N13:N22)</f>
        <v>0</v>
      </c>
    </row>
    <row r="13" spans="2:14" ht="27" customHeight="1" x14ac:dyDescent="0.25">
      <c r="B13" s="2" t="s">
        <v>29</v>
      </c>
      <c r="C13" s="3" t="s">
        <v>30</v>
      </c>
      <c r="D13" s="3"/>
      <c r="E13" s="5"/>
      <c r="F13" s="5"/>
      <c r="G13" s="4">
        <f>IF(ISNUMBER(VLOOKUP("1.2.1",B5:N22,6,FALSE)),ROUND(VLOOKUP("1.2.1",B5:N22,6,FALSE),4),0) + IF(ISNUMBER(VLOOKUP("1.2.2",B5:N22,6,FALSE)),ROUND(VLOOKUP("1.2.2",B5:N22,6,FALSE),4),0)</f>
        <v>0</v>
      </c>
      <c r="H13" s="4">
        <f>IF(ISNUMBER(VLOOKUP("1.2.1",B5:N22,7,FALSE)),ROUND(VLOOKUP("1.2.1",B5:N22,7,FALSE),4),0) + IF(ISNUMBER(VLOOKUP("1.2.2",B5:N22,7,FALSE)),ROUND(VLOOKUP("1.2.2",B5:N22,7,FALSE),4),0)</f>
        <v>0</v>
      </c>
      <c r="I13" s="4">
        <f>IF(ISNUMBER(VLOOKUP("1.2.1",B5:N22,8,FALSE)),ROUND(VLOOKUP("1.2.1",B5:N22,8,FALSE),4),0) + IF(ISNUMBER(VLOOKUP("1.2.2",B5:N22,8,FALSE)),ROUND(VLOOKUP("1.2.2",B5:N22,8,FALSE),4),0)</f>
        <v>0</v>
      </c>
      <c r="J13" s="4">
        <f>IF(ISNUMBER(VLOOKUP("1.2.1",B5:N22,9,FALSE)),ROUND(VLOOKUP("1.2.1",B5:N22,9,FALSE),4),0) + IF(ISNUMBER(VLOOKUP("1.2.2",B5:N22,9,FALSE)),ROUND(VLOOKUP("1.2.2",B5:N22,9,FALSE),4),0)</f>
        <v>0</v>
      </c>
      <c r="K13" s="4">
        <f>IF(ISNUMBER(VLOOKUP("1.2.1",B5:N22,10,FALSE)),ROUND(VLOOKUP("1.2.1",B5:N22,10,FALSE),4),0) + IF(ISNUMBER(VLOOKUP("1.2.2",B5:N22,10,FALSE)),ROUND(VLOOKUP("1.2.2",B5:N22,10,FALSE),4),0)</f>
        <v>0</v>
      </c>
      <c r="L13" s="4">
        <f>IF(ISNUMBER(VLOOKUP("1.2.1",B5:N22,11,FALSE)),ROUND(VLOOKUP("1.2.1",B5:N22,11,FALSE),4),0) + IF(ISNUMBER(VLOOKUP("1.2.2",B5:N22,11,FALSE)),ROUND(VLOOKUP("1.2.2",B5:N22,11,FALSE),4),0)</f>
        <v>0</v>
      </c>
      <c r="M13" s="4">
        <f>IF(ISNUMBER(VLOOKUP("1.2.1",B5:N22,12,FALSE)),ROUND(VLOOKUP("1.2.1",B5:N22,12,FALSE),4),0) + IF(ISNUMBER(VLOOKUP("1.2.2",B5:N22,12,FALSE)),ROUND(VLOOKUP("1.2.2",B5:N22,12,FALSE),4),0)</f>
        <v>0</v>
      </c>
      <c r="N13" s="4">
        <f>IF(ISNUMBER(VLOOKUP("1.2.1",B5:N22,13,FALSE)),ROUND(VLOOKUP("1.2.1",B5:N22,13,FALSE),4),0) + IF(ISNUMBER(VLOOKUP("1.2.2",B5:N22,13,FALSE)),ROUND(VLOOKUP("1.2.2",B5:N22,13,FALSE),4),0)</f>
        <v>0</v>
      </c>
    </row>
    <row r="14" spans="2:14" ht="14.25" customHeight="1" x14ac:dyDescent="0.25">
      <c r="B14" s="2" t="s">
        <v>31</v>
      </c>
      <c r="C14" s="3" t="s">
        <v>16</v>
      </c>
      <c r="D14" s="3"/>
      <c r="E14" s="5"/>
      <c r="F14" s="5"/>
      <c r="G14" s="4">
        <f>SUMIF(B15:B22, "1.2.1.*", G15:G22)</f>
        <v>0</v>
      </c>
      <c r="H14" s="4">
        <f>SUMIF(B15:B22, "1.2.1.*", H15:H22)</f>
        <v>0</v>
      </c>
      <c r="I14" s="4">
        <f>SUMIF(B15:B22, "1.2.1.*", I15:I22)</f>
        <v>0</v>
      </c>
      <c r="J14" s="4">
        <f>SUMIF(B15:B22, "1.2.1.*", J15:J22)</f>
        <v>0</v>
      </c>
      <c r="K14" s="4">
        <f>SUMIF(B15:B22, "1.2.1.*", K15:K22)</f>
        <v>0</v>
      </c>
      <c r="L14" s="4">
        <f>SUMIF(B15:B22, "1.2.1.*", L15:L22)</f>
        <v>0</v>
      </c>
      <c r="M14" s="4">
        <f>SUMIF(B15:B22, "1.2.1.*", M15:M22)</f>
        <v>0</v>
      </c>
      <c r="N14" s="4">
        <f>SUMIF(B15:B22, "1.2.1.*", N15:N22)</f>
        <v>0</v>
      </c>
    </row>
    <row r="15" spans="2:14" ht="14.25" customHeight="1" x14ac:dyDescent="0.25">
      <c r="B15" s="2" t="s">
        <v>32</v>
      </c>
      <c r="C15" s="3" t="s">
        <v>18</v>
      </c>
      <c r="D15" s="3"/>
      <c r="E15" s="5"/>
      <c r="F15" s="5"/>
      <c r="G15" s="4">
        <f>SUMIF(B16:B22, "1.2.2.*", G16:G22)</f>
        <v>0</v>
      </c>
      <c r="H15" s="4">
        <f>SUMIF(B16:B22, "1.2.2.*", H16:H22)</f>
        <v>0</v>
      </c>
      <c r="I15" s="4">
        <f>SUMIF(B16:B22, "1.2.2.*", I16:I22)</f>
        <v>0</v>
      </c>
      <c r="J15" s="4">
        <f>SUMIF(B16:B22, "1.2.2.*", J16:J22)</f>
        <v>0</v>
      </c>
      <c r="K15" s="4">
        <f>SUMIF(B16:B22, "1.2.2.*", K16:K22)</f>
        <v>0</v>
      </c>
      <c r="L15" s="4">
        <f>SUMIF(B16:B22, "1.2.2.*", L16:L22)</f>
        <v>0</v>
      </c>
      <c r="M15" s="4">
        <f>SUMIF(B16:B22, "1.2.2.*", M16:M22)</f>
        <v>0</v>
      </c>
      <c r="N15" s="4">
        <f>SUMIF(B16:B22, "1.2.2.*", N16:N22)</f>
        <v>0</v>
      </c>
    </row>
    <row r="16" spans="2:14" ht="27" customHeight="1" x14ac:dyDescent="0.25">
      <c r="B16" s="2" t="s">
        <v>33</v>
      </c>
      <c r="C16" s="3" t="s">
        <v>34</v>
      </c>
      <c r="D16" s="3"/>
      <c r="E16" s="5"/>
      <c r="F16" s="5"/>
      <c r="G16" s="4">
        <f>IF(ISNUMBER(VLOOKUP("1.3.1",B5:N22,6,FALSE)),ROUND(VLOOKUP("1.3.1",B5:N22,6,FALSE),4),0) + IF(ISNUMBER(VLOOKUP("1.3.2",B5:N22,6,FALSE)),ROUND(VLOOKUP("1.3.2",B5:N22,6,FALSE),4),0)</f>
        <v>39771364.460000001</v>
      </c>
      <c r="H16" s="4">
        <f>IF(ISNUMBER(VLOOKUP("1.3.1",B5:N22,7,FALSE)),ROUND(VLOOKUP("1.3.1",B5:N22,7,FALSE),4),0) + IF(ISNUMBER(VLOOKUP("1.3.2",B5:N22,7,FALSE)),ROUND(VLOOKUP("1.3.2",B5:N22,7,FALSE),4),0)</f>
        <v>7450909.7599999998</v>
      </c>
      <c r="I16" s="4">
        <f>IF(ISNUMBER(VLOOKUP("1.3.1",B5:N22,8,FALSE)),ROUND(VLOOKUP("1.3.1",B5:N22,8,FALSE),4),0) + IF(ISNUMBER(VLOOKUP("1.3.2",B5:N22,8,FALSE)),ROUND(VLOOKUP("1.3.2",B5:N22,8,FALSE),4),0)</f>
        <v>13052472.390000001</v>
      </c>
      <c r="J16" s="4">
        <f>IF(ISNUMBER(VLOOKUP("1.3.1",B5:N22,9,FALSE)),ROUND(VLOOKUP("1.3.1",B5:N22,9,FALSE),4),0) + IF(ISNUMBER(VLOOKUP("1.3.2",B5:N22,9,FALSE)),ROUND(VLOOKUP("1.3.2",B5:N22,9,FALSE),4),0)</f>
        <v>3714167.68</v>
      </c>
      <c r="K16" s="4">
        <f>IF(ISNUMBER(VLOOKUP("1.3.1",B5:N22,10,FALSE)),ROUND(VLOOKUP("1.3.1",B5:N22,10,FALSE),4),0) + IF(ISNUMBER(VLOOKUP("1.3.2",B5:N22,10,FALSE)),ROUND(VLOOKUP("1.3.2",B5:N22,10,FALSE),4),0)</f>
        <v>7419704.0700000003</v>
      </c>
      <c r="L16" s="4">
        <f>IF(ISNUMBER(VLOOKUP("1.3.1",B5:N22,11,FALSE)),ROUND(VLOOKUP("1.3.1",B5:N22,11,FALSE),4),0) + IF(ISNUMBER(VLOOKUP("1.3.2",B5:N22,11,FALSE)),ROUND(VLOOKUP("1.3.2",B5:N22,11,FALSE),4),0)</f>
        <v>3418849.46</v>
      </c>
      <c r="M16" s="4">
        <f>IF(ISNUMBER(VLOOKUP("1.3.1",B5:N22,12,FALSE)),ROUND(VLOOKUP("1.3.1",B5:N22,12,FALSE),4),0) + IF(ISNUMBER(VLOOKUP("1.3.2",B5:N22,12,FALSE)),ROUND(VLOOKUP("1.3.2",B5:N22,12,FALSE),4),0)</f>
        <v>4498132.3</v>
      </c>
      <c r="N16" s="4">
        <f>IF(ISNUMBER(VLOOKUP("1.3.1",B5:N22,13,FALSE)),ROUND(VLOOKUP("1.3.1",B5:N22,13,FALSE),4),0) + IF(ISNUMBER(VLOOKUP("1.3.2",B5:N22,13,FALSE)),ROUND(VLOOKUP("1.3.2",B5:N22,13,FALSE),4),0)</f>
        <v>39554235.659999996</v>
      </c>
    </row>
    <row r="17" spans="2:14" ht="14.25" customHeight="1" x14ac:dyDescent="0.25">
      <c r="B17" s="2" t="s">
        <v>35</v>
      </c>
      <c r="C17" s="3" t="s">
        <v>16</v>
      </c>
      <c r="D17" s="3"/>
      <c r="E17" s="5"/>
      <c r="F17" s="5"/>
      <c r="G17" s="4">
        <f>SUMIF(B18:B22, "1.3.1.*", G18:G22)</f>
        <v>0</v>
      </c>
      <c r="H17" s="4">
        <f>SUMIF(B18:B22, "1.3.1.*", H18:H22)</f>
        <v>0</v>
      </c>
      <c r="I17" s="4">
        <f>SUMIF(B18:B22, "1.3.1.*", I18:I22)</f>
        <v>0</v>
      </c>
      <c r="J17" s="4">
        <f>SUMIF(B18:B22, "1.3.1.*", J18:J22)</f>
        <v>0</v>
      </c>
      <c r="K17" s="4">
        <f>SUMIF(B18:B22, "1.3.1.*", K18:K22)</f>
        <v>0</v>
      </c>
      <c r="L17" s="4">
        <f>SUMIF(B18:B22, "1.3.1.*", L18:L22)</f>
        <v>0</v>
      </c>
      <c r="M17" s="4">
        <f>SUMIF(B18:B22, "1.3.1.*", M18:M22)</f>
        <v>0</v>
      </c>
      <c r="N17" s="4">
        <f>SUMIF(B18:B22, "1.3.1.*", N18:N22)</f>
        <v>0</v>
      </c>
    </row>
    <row r="18" spans="2:14" ht="14.25" customHeight="1" x14ac:dyDescent="0.25">
      <c r="B18" s="2" t="s">
        <v>36</v>
      </c>
      <c r="C18" s="3" t="s">
        <v>18</v>
      </c>
      <c r="D18" s="3"/>
      <c r="E18" s="5"/>
      <c r="F18" s="5"/>
      <c r="G18" s="4">
        <f>SUMIF(B19:B22, "1.3.2.*", G19:G22)</f>
        <v>39771364.460000001</v>
      </c>
      <c r="H18" s="4">
        <f>SUMIF(B19:B22, "1.3.2.*", H19:H22)</f>
        <v>7450909.7599999998</v>
      </c>
      <c r="I18" s="4">
        <f>SUMIF(B19:B22, "1.3.2.*", I19:I22)</f>
        <v>13052472.390000001</v>
      </c>
      <c r="J18" s="4">
        <f>SUMIF(B19:B22, "1.3.2.*", J19:J22)</f>
        <v>3714167.68</v>
      </c>
      <c r="K18" s="4">
        <f>SUMIF(B19:B22, "1.3.2.*", K19:K22)</f>
        <v>7419704.0700000003</v>
      </c>
      <c r="L18" s="4">
        <f>SUMIF(B19:B22, "1.3.2.*", L19:L22)</f>
        <v>3418849.46</v>
      </c>
      <c r="M18" s="4">
        <f>SUMIF(B19:B22, "1.3.2.*", M19:M22)</f>
        <v>4498132.3</v>
      </c>
      <c r="N18" s="4">
        <f>SUMIF(B19:B22, "1.3.2.*", N19:N22)</f>
        <v>39554235.659999996</v>
      </c>
    </row>
    <row r="19" spans="2:14" ht="52.9" customHeight="1" x14ac:dyDescent="0.25">
      <c r="B19" s="6" t="s">
        <v>37</v>
      </c>
      <c r="C19" s="7" t="s">
        <v>38</v>
      </c>
      <c r="D19" s="8" t="s">
        <v>27</v>
      </c>
      <c r="E19" s="10">
        <v>2020</v>
      </c>
      <c r="F19" s="10">
        <v>2023</v>
      </c>
      <c r="G19" s="9">
        <v>240000</v>
      </c>
      <c r="H19" s="9">
        <v>80000</v>
      </c>
      <c r="I19" s="9">
        <v>80000</v>
      </c>
      <c r="J19" s="9">
        <v>80000</v>
      </c>
      <c r="K19" s="11">
        <v>0</v>
      </c>
      <c r="L19" s="11">
        <v>0</v>
      </c>
      <c r="M19" s="11">
        <v>0</v>
      </c>
      <c r="N19" s="9">
        <v>240000</v>
      </c>
    </row>
    <row r="20" spans="2:14" ht="39.950000000000003" customHeight="1" x14ac:dyDescent="0.25">
      <c r="B20" s="6" t="s">
        <v>39</v>
      </c>
      <c r="C20" s="7" t="s">
        <v>40</v>
      </c>
      <c r="D20" s="8" t="s">
        <v>27</v>
      </c>
      <c r="E20" s="10">
        <v>2020</v>
      </c>
      <c r="F20" s="10">
        <v>2026</v>
      </c>
      <c r="G20" s="9">
        <v>27194540.41</v>
      </c>
      <c r="H20" s="9">
        <v>3027625.5</v>
      </c>
      <c r="I20" s="9">
        <v>5105816.22</v>
      </c>
      <c r="J20" s="9">
        <v>3634167.68</v>
      </c>
      <c r="K20" s="9">
        <v>7419704.0700000003</v>
      </c>
      <c r="L20" s="9">
        <v>3418849.46</v>
      </c>
      <c r="M20" s="9">
        <v>4498132.3</v>
      </c>
      <c r="N20" s="9">
        <v>27104295.23</v>
      </c>
    </row>
    <row r="21" spans="2:14" ht="39.950000000000003" customHeight="1" x14ac:dyDescent="0.25">
      <c r="B21" s="6" t="s">
        <v>41</v>
      </c>
      <c r="C21" s="7" t="s">
        <v>42</v>
      </c>
      <c r="D21" s="8" t="s">
        <v>27</v>
      </c>
      <c r="E21" s="10">
        <v>2020</v>
      </c>
      <c r="F21" s="10">
        <v>2022</v>
      </c>
      <c r="G21" s="9">
        <v>12336824.050000001</v>
      </c>
      <c r="H21" s="9">
        <v>4343284.26</v>
      </c>
      <c r="I21" s="9">
        <v>7866656.1699999999</v>
      </c>
      <c r="J21" s="11">
        <v>0</v>
      </c>
      <c r="K21" s="11">
        <v>0</v>
      </c>
      <c r="L21" s="11">
        <v>0</v>
      </c>
      <c r="M21" s="11">
        <v>0</v>
      </c>
      <c r="N21" s="9">
        <v>12209940.43</v>
      </c>
    </row>
  </sheetData>
  <conditionalFormatting sqref="C9:N9">
    <cfRule type="beginsWith" dxfId="11" priority="1" operator="beginsWith" text="Tak">
      <formula>LEFT(C9,LEN("Tak"))="Tak"</formula>
    </cfRule>
    <cfRule type="beginsWith" dxfId="10" priority="2" operator="beginsWith" text="Nie">
      <formula>LEFT(C9,LEN("Nie"))="Nie"</formula>
    </cfRule>
  </conditionalFormatting>
  <conditionalFormatting sqref="C12:N12">
    <cfRule type="beginsWith" dxfId="9" priority="3" operator="beginsWith" text="Tak">
      <formula>LEFT(C12,LEN("Tak"))="Tak"</formula>
    </cfRule>
    <cfRule type="beginsWith" dxfId="8" priority="4" operator="beginsWith" text="Nie">
      <formula>LEFT(C12,LEN("Nie"))="Nie"</formula>
    </cfRule>
  </conditionalFormatting>
  <conditionalFormatting sqref="C14:N14">
    <cfRule type="beginsWith" dxfId="7" priority="5" operator="beginsWith" text="Tak">
      <formula>LEFT(C14,LEN("Tak"))="Tak"</formula>
    </cfRule>
    <cfRule type="beginsWith" dxfId="6" priority="6" operator="beginsWith" text="Nie">
      <formula>LEFT(C14,LEN("Nie"))="Nie"</formula>
    </cfRule>
  </conditionalFormatting>
  <conditionalFormatting sqref="C15:N15">
    <cfRule type="beginsWith" dxfId="5" priority="7" operator="beginsWith" text="Tak">
      <formula>LEFT(C15,LEN("Tak"))="Tak"</formula>
    </cfRule>
    <cfRule type="beginsWith" dxfId="4" priority="8" operator="beginsWith" text="Nie">
      <formula>LEFT(C15,LEN("Nie"))="Nie"</formula>
    </cfRule>
  </conditionalFormatting>
  <conditionalFormatting sqref="C17:N17">
    <cfRule type="beginsWith" dxfId="3" priority="9" operator="beginsWith" text="Tak">
      <formula>LEFT(C17,LEN("Tak"))="Tak"</formula>
    </cfRule>
    <cfRule type="beginsWith" dxfId="2" priority="10" operator="beginsWith" text="Nie">
      <formula>LEFT(C17,LEN("Nie"))="Nie"</formula>
    </cfRule>
  </conditionalFormatting>
  <conditionalFormatting sqref="C18:N18">
    <cfRule type="beginsWith" dxfId="1" priority="11" operator="beginsWith" text="Tak">
      <formula>LEFT(C18,LEN("Tak"))="Tak"</formula>
    </cfRule>
    <cfRule type="beginsWith" dxfId="0" priority="12" operator="beginsWith" text="Nie">
      <formula>LEFT(C18,LEN("Nie"))="Nie"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Strona &amp;P z &amp;N</oddFooter>
  </headerFooter>
  <colBreaks count="1" manualBreakCount="1">
    <brk id="8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</vt:lpstr>
      <vt:lpstr>'Załącznik 2'!Tytuły_wydruku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Załącznik 2</dc:subject>
  <dc:creator>http://www.curulis.pl</dc:creator>
  <cp:keywords>wpf, curulis, wieloletnia prognoza finansowa, wpf asystent</cp:keywords>
  <cp:lastModifiedBy>Sztojko Beata</cp:lastModifiedBy>
  <cp:lastPrinted>2020-11-12T11:22:43Z</cp:lastPrinted>
  <dcterms:modified xsi:type="dcterms:W3CDTF">2020-11-12T11:22:44Z</dcterms:modified>
</cp:coreProperties>
</file>